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_RESTRICTED Finance\Primary Care Co-Commissioning\Primary Care Committee\2021-22\8. May 2022\"/>
    </mc:Choice>
  </mc:AlternateContent>
  <xr:revisionPtr revIDLastSave="0" documentId="13_ncr:1_{F91356A1-9292-40B4-AC3D-78D4774CDC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pendix B" sheetId="3" r:id="rId1"/>
    <sheet name="Sheet1" sheetId="6" r:id="rId2"/>
  </sheets>
  <externalReferences>
    <externalReference r:id="rId3"/>
  </externalReferences>
  <definedNames>
    <definedName name="_xlnm.Print_Area" localSheetId="0">'Appendix B'!$A$1:$K$81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1" i="3" l="1"/>
  <c r="J79" i="3"/>
  <c r="C79" i="3"/>
  <c r="K67" i="3"/>
  <c r="J67" i="3"/>
  <c r="D67" i="3"/>
  <c r="C67" i="3"/>
  <c r="B67" i="3"/>
  <c r="J73" i="3"/>
  <c r="D72" i="3"/>
  <c r="K72" i="3" s="1"/>
  <c r="J65" i="3"/>
  <c r="C65" i="3"/>
  <c r="D58" i="3"/>
  <c r="K58" i="3" s="1"/>
  <c r="D57" i="3" l="1"/>
  <c r="K57" i="3" s="1"/>
  <c r="D56" i="3"/>
  <c r="K56" i="3" s="1"/>
  <c r="D55" i="3"/>
  <c r="K55" i="3" s="1"/>
  <c r="D54" i="3"/>
  <c r="K54" i="3" s="1"/>
  <c r="D53" i="3"/>
  <c r="K53" i="3" s="1"/>
  <c r="J44" i="3"/>
  <c r="D28" i="3"/>
  <c r="K28" i="3" s="1"/>
  <c r="J21" i="3"/>
  <c r="H65" i="3" l="1"/>
  <c r="H64" i="3"/>
  <c r="H63" i="3"/>
  <c r="H62" i="3"/>
  <c r="G21" i="3"/>
  <c r="F21" i="3"/>
  <c r="G67" i="3"/>
  <c r="F67" i="3"/>
  <c r="D65" i="3"/>
  <c r="K65" i="3" s="1"/>
  <c r="G50" i="3" l="1"/>
  <c r="F50" i="3"/>
  <c r="J50" i="3" l="1"/>
  <c r="J34" i="3"/>
  <c r="H49" i="3"/>
  <c r="H48" i="3"/>
  <c r="H47" i="3"/>
  <c r="H46" i="3"/>
  <c r="H45" i="3"/>
  <c r="H40" i="3"/>
  <c r="H39" i="3"/>
  <c r="H38" i="3"/>
  <c r="H37" i="3"/>
  <c r="H33" i="3"/>
  <c r="H32" i="3"/>
  <c r="H31" i="3"/>
  <c r="H30" i="3"/>
  <c r="H29" i="3"/>
  <c r="H27" i="3"/>
  <c r="H26" i="3"/>
  <c r="H25" i="3"/>
  <c r="H24" i="3"/>
  <c r="H23" i="3"/>
  <c r="H22" i="3"/>
  <c r="H20" i="3"/>
  <c r="H19" i="3"/>
  <c r="H18" i="3"/>
  <c r="H17" i="3"/>
  <c r="H16" i="3"/>
  <c r="H15" i="3"/>
  <c r="H14" i="3"/>
  <c r="H13" i="3"/>
  <c r="H12" i="3"/>
  <c r="G34" i="3"/>
  <c r="F34" i="3"/>
  <c r="H9" i="3"/>
  <c r="H7" i="3"/>
  <c r="D73" i="3"/>
  <c r="K73" i="3" s="1"/>
  <c r="D70" i="3"/>
  <c r="K70" i="3" s="1"/>
  <c r="D49" i="3"/>
  <c r="K49" i="3" s="1"/>
  <c r="D48" i="3"/>
  <c r="K48" i="3" s="1"/>
  <c r="D47" i="3"/>
  <c r="K47" i="3" s="1"/>
  <c r="D46" i="3"/>
  <c r="K46" i="3" s="1"/>
  <c r="D45" i="3"/>
  <c r="K45" i="3" s="1"/>
  <c r="D7" i="3"/>
  <c r="K7" i="3" s="1"/>
  <c r="C75" i="3"/>
  <c r="C50" i="3"/>
  <c r="C41" i="3"/>
  <c r="C34" i="3"/>
  <c r="B79" i="3"/>
  <c r="D79" i="3" l="1"/>
  <c r="K79" i="3" s="1"/>
  <c r="H21" i="3"/>
  <c r="H34" i="3" s="1"/>
  <c r="C77" i="3"/>
  <c r="C81" i="3" s="1"/>
  <c r="H44" i="3"/>
  <c r="H50" i="3" s="1"/>
  <c r="H67" i="3" l="1"/>
  <c r="B64" i="3"/>
  <c r="D64" i="3" s="1"/>
  <c r="B63" i="3"/>
  <c r="D63" i="3" s="1"/>
  <c r="B62" i="3"/>
  <c r="D62" i="3" l="1"/>
  <c r="K64" i="3"/>
  <c r="K63" i="3"/>
  <c r="A62" i="3"/>
  <c r="B40" i="3"/>
  <c r="D40" i="3" s="1"/>
  <c r="K40" i="3" s="1"/>
  <c r="B39" i="3"/>
  <c r="D39" i="3" s="1"/>
  <c r="K39" i="3" s="1"/>
  <c r="B38" i="3"/>
  <c r="D38" i="3" s="1"/>
  <c r="K38" i="3" s="1"/>
  <c r="B37" i="3"/>
  <c r="D37" i="3" s="1"/>
  <c r="B33" i="3"/>
  <c r="D33" i="3" s="1"/>
  <c r="K33" i="3" s="1"/>
  <c r="B32" i="3"/>
  <c r="D32" i="3" s="1"/>
  <c r="K32" i="3" s="1"/>
  <c r="B31" i="3"/>
  <c r="D31" i="3" s="1"/>
  <c r="K31" i="3" s="1"/>
  <c r="B30" i="3"/>
  <c r="D30" i="3" s="1"/>
  <c r="K30" i="3" s="1"/>
  <c r="B29" i="3"/>
  <c r="D29" i="3" s="1"/>
  <c r="K29" i="3" s="1"/>
  <c r="B27" i="3"/>
  <c r="D27" i="3" s="1"/>
  <c r="K27" i="3" s="1"/>
  <c r="B26" i="3"/>
  <c r="D26" i="3" s="1"/>
  <c r="K26" i="3" s="1"/>
  <c r="B25" i="3"/>
  <c r="D25" i="3" s="1"/>
  <c r="K25" i="3" s="1"/>
  <c r="B24" i="3"/>
  <c r="D24" i="3" s="1"/>
  <c r="K24" i="3" s="1"/>
  <c r="B23" i="3"/>
  <c r="D23" i="3" s="1"/>
  <c r="K23" i="3" s="1"/>
  <c r="B22" i="3"/>
  <c r="D22" i="3" s="1"/>
  <c r="K22" i="3" s="1"/>
  <c r="B21" i="3"/>
  <c r="D21" i="3" s="1"/>
  <c r="K21" i="3" s="1"/>
  <c r="B20" i="3"/>
  <c r="D20" i="3" s="1"/>
  <c r="K20" i="3" s="1"/>
  <c r="B19" i="3"/>
  <c r="D19" i="3" s="1"/>
  <c r="K19" i="3" s="1"/>
  <c r="B18" i="3"/>
  <c r="D18" i="3" s="1"/>
  <c r="K18" i="3" s="1"/>
  <c r="B17" i="3"/>
  <c r="D17" i="3" s="1"/>
  <c r="K17" i="3" s="1"/>
  <c r="B16" i="3"/>
  <c r="D16" i="3" s="1"/>
  <c r="K16" i="3" s="1"/>
  <c r="B15" i="3"/>
  <c r="D15" i="3" s="1"/>
  <c r="K15" i="3" s="1"/>
  <c r="B14" i="3"/>
  <c r="D14" i="3" s="1"/>
  <c r="K14" i="3" s="1"/>
  <c r="B13" i="3"/>
  <c r="D13" i="3" s="1"/>
  <c r="K13" i="3" s="1"/>
  <c r="B12" i="3"/>
  <c r="D12" i="3" s="1"/>
  <c r="K12" i="3" s="1"/>
  <c r="B9" i="3"/>
  <c r="D9" i="3" s="1"/>
  <c r="K9" i="3" s="1"/>
  <c r="K62" i="3" l="1"/>
  <c r="D41" i="3"/>
  <c r="K37" i="3"/>
  <c r="D34" i="3"/>
  <c r="B71" i="3"/>
  <c r="D71" i="3" s="1"/>
  <c r="B44" i="3"/>
  <c r="D44" i="3" s="1"/>
  <c r="D75" i="3" l="1"/>
  <c r="K71" i="3"/>
  <c r="D50" i="3"/>
  <c r="K44" i="3"/>
  <c r="D77" i="3" l="1"/>
  <c r="D81" i="3" s="1"/>
  <c r="H73" i="3"/>
  <c r="H71" i="3"/>
  <c r="H70" i="3"/>
  <c r="J75" i="3" l="1"/>
  <c r="K75" i="3"/>
  <c r="K50" i="3"/>
  <c r="J41" i="3"/>
  <c r="K41" i="3"/>
  <c r="K34" i="3"/>
  <c r="K77" i="3" l="1"/>
  <c r="K81" i="3" l="1"/>
  <c r="J77" i="3"/>
  <c r="J81" i="3" s="1"/>
  <c r="G75" i="3" l="1"/>
  <c r="B75" i="3"/>
  <c r="F75" i="3" l="1"/>
  <c r="H79" i="3" l="1"/>
  <c r="H75" i="3" l="1"/>
  <c r="B34" i="3" l="1"/>
  <c r="B41" i="3" l="1"/>
  <c r="F41" i="3" l="1"/>
  <c r="G41" i="3" l="1"/>
  <c r="H41" i="3" l="1"/>
  <c r="B50" i="3" l="1"/>
  <c r="B77" i="3" s="1"/>
  <c r="B81" i="3" l="1"/>
  <c r="G77" i="3" l="1"/>
  <c r="G81" i="3" l="1"/>
  <c r="F77" i="3"/>
  <c r="F81" i="3" s="1"/>
  <c r="H77" i="3" l="1"/>
  <c r="H8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McDermott</author>
  </authors>
  <commentList>
    <comment ref="B45" authorId="0" shapeId="0" xr:uid="{A86E7507-44E2-48BB-91F4-84902D2C42D5}">
      <text>
        <r>
          <rPr>
            <b/>
            <sz val="9"/>
            <color indexed="81"/>
            <rFont val="Tahoma"/>
            <family val="2"/>
          </rPr>
          <t>Linda McDermott:</t>
        </r>
        <r>
          <rPr>
            <sz val="9"/>
            <color indexed="81"/>
            <rFont val="Tahoma"/>
            <family val="2"/>
          </rPr>
          <t xml:space="preserve">
£64k at M4
£38k Covid text messaging shown below</t>
        </r>
      </text>
    </comment>
  </commentList>
</comments>
</file>

<file path=xl/sharedStrings.xml><?xml version="1.0" encoding="utf-8"?>
<sst xmlns="http://schemas.openxmlformats.org/spreadsheetml/2006/main" count="80" uniqueCount="73">
  <si>
    <t>Budget</t>
  </si>
  <si>
    <t>Anticoagulation</t>
  </si>
  <si>
    <t>Care Homes</t>
  </si>
  <si>
    <t>Care Of Homeless</t>
  </si>
  <si>
    <t>Eating Disorders</t>
  </si>
  <si>
    <t>Dermatology/Cryotherapy/Cutting</t>
  </si>
  <si>
    <t>Dmards</t>
  </si>
  <si>
    <t>Endometrial Biopsy</t>
  </si>
  <si>
    <t xml:space="preserve">Mirena </t>
  </si>
  <si>
    <t>Colorectal Screening</t>
  </si>
  <si>
    <t>Pessaries</t>
  </si>
  <si>
    <t>Zoladex</t>
  </si>
  <si>
    <t>Minor Surgery</t>
  </si>
  <si>
    <t>GP IT</t>
  </si>
  <si>
    <t>Interpreting Services</t>
  </si>
  <si>
    <t>Other Primary Care Expenditure - Sub Total</t>
  </si>
  <si>
    <t>24 Hour Blood Pressure Monitoring</t>
  </si>
  <si>
    <t>Hepatitis B</t>
  </si>
  <si>
    <t>Special Cases</t>
  </si>
  <si>
    <t xml:space="preserve">PMS Transition:"Over and Above" </t>
  </si>
  <si>
    <t>Additional CCG-Commissioned Expenditure on Primary Care Services</t>
  </si>
  <si>
    <t>£</t>
  </si>
  <si>
    <t xml:space="preserve">Out of Hours </t>
  </si>
  <si>
    <t>Existing Dermatology &amp; Respiratory Clinics</t>
  </si>
  <si>
    <t>Year to Date Budget</t>
  </si>
  <si>
    <t>Year to Date Spend</t>
  </si>
  <si>
    <t>Year to Date Variance</t>
  </si>
  <si>
    <t>Extended Access</t>
  </si>
  <si>
    <t>LCS Contracts With GP Practices</t>
  </si>
  <si>
    <t>CASES</t>
  </si>
  <si>
    <t>Clinical Pharmacists</t>
  </si>
  <si>
    <t>Other Expenditure to Support Primary Care</t>
  </si>
  <si>
    <t>Round Robin Postage</t>
  </si>
  <si>
    <t>Quality Contract</t>
  </si>
  <si>
    <t>£1.50 per Head to Develop and Maintain Networks</t>
  </si>
  <si>
    <t xml:space="preserve">Reserves </t>
  </si>
  <si>
    <t>Winter</t>
  </si>
  <si>
    <t>Sub-Total Reserves</t>
  </si>
  <si>
    <t xml:space="preserve">Pharmacy </t>
  </si>
  <si>
    <t>Non-Recurrent Items Sub-Total</t>
  </si>
  <si>
    <t>LCS Contracts With GP Practices - Sub Total</t>
  </si>
  <si>
    <t>Ophthalmology Services</t>
  </si>
  <si>
    <t xml:space="preserve">Additional CCG- Commissioned Expenditure  - Total </t>
  </si>
  <si>
    <t>System-Wide Work</t>
  </si>
  <si>
    <t>COVID-19 Expenditure in Primary Care</t>
  </si>
  <si>
    <t>Degarelix</t>
  </si>
  <si>
    <t>On-Line Consultation</t>
  </si>
  <si>
    <t>GP IT - Shared Service</t>
  </si>
  <si>
    <t>Grand Total</t>
  </si>
  <si>
    <t>H1 Plan Approved by PCCC &amp; New Allocations</t>
  </si>
  <si>
    <t>PLIs and Practice Training</t>
  </si>
  <si>
    <t>Contingency</t>
  </si>
  <si>
    <t xml:space="preserve">Latent TB Screening </t>
  </si>
  <si>
    <t>Non-Recurrent Items:</t>
  </si>
  <si>
    <t>Primary Care Networks</t>
  </si>
  <si>
    <t>2021/22 Contract With PCS - Sub Total</t>
  </si>
  <si>
    <t>H2 Plan</t>
  </si>
  <si>
    <t>Total Budget</t>
  </si>
  <si>
    <t>SDF Allocations</t>
  </si>
  <si>
    <t>2021/22 Contract With Primary Care Sheffield Ltd</t>
  </si>
  <si>
    <t>Improving Access</t>
  </si>
  <si>
    <t>Month 12 Position - April 2021 - March 2022</t>
  </si>
  <si>
    <t>Final Outturn Position</t>
  </si>
  <si>
    <t xml:space="preserve">Year End Over / (Under) Spend </t>
  </si>
  <si>
    <t>Removal of Polyps</t>
  </si>
  <si>
    <t>PQIS</t>
  </si>
  <si>
    <t>TIF</t>
  </si>
  <si>
    <t>Blood Pressure Monitoring Support</t>
  </si>
  <si>
    <t>Proactive Care</t>
  </si>
  <si>
    <t>Workforce and Wellbeing</t>
  </si>
  <si>
    <t>Workforce Support</t>
  </si>
  <si>
    <t>ICS Capital Patient Engagement</t>
  </si>
  <si>
    <t>ICS Capital - Professional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</si>
</sst>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3" fontId="4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/>
    <xf numFmtId="0" fontId="2" fillId="0" borderId="0" xfId="0" applyFont="1" applyFill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/>
    <xf numFmtId="0" fontId="2" fillId="3" borderId="6" xfId="0" applyFont="1" applyFill="1" applyBorder="1" applyAlignment="1">
      <alignment wrapText="1"/>
    </xf>
    <xf numFmtId="0" fontId="2" fillId="2" borderId="6" xfId="0" applyFont="1" applyFill="1" applyBorder="1"/>
    <xf numFmtId="0" fontId="2" fillId="4" borderId="4" xfId="0" applyFont="1" applyFill="1" applyBorder="1"/>
    <xf numFmtId="164" fontId="0" fillId="0" borderId="1" xfId="0" applyNumberFormat="1" applyFont="1" applyFill="1" applyBorder="1"/>
    <xf numFmtId="164" fontId="2" fillId="0" borderId="1" xfId="0" applyNumberFormat="1" applyFont="1" applyFill="1" applyBorder="1"/>
    <xf numFmtId="164" fontId="5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right" vertical="center"/>
    </xf>
    <xf numFmtId="164" fontId="2" fillId="3" borderId="6" xfId="1" applyNumberFormat="1" applyFont="1" applyFill="1" applyBorder="1"/>
    <xf numFmtId="164" fontId="0" fillId="0" borderId="0" xfId="0" applyNumberFormat="1" applyFont="1" applyFill="1"/>
    <xf numFmtId="164" fontId="2" fillId="2" borderId="6" xfId="0" applyNumberFormat="1" applyFont="1" applyFill="1" applyBorder="1"/>
    <xf numFmtId="164" fontId="2" fillId="4" borderId="6" xfId="0" applyNumberFormat="1" applyFont="1" applyFill="1" applyBorder="1"/>
    <xf numFmtId="164" fontId="2" fillId="0" borderId="1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0" borderId="1" xfId="0" quotePrefix="1" applyNumberFormat="1" applyFont="1" applyFill="1" applyBorder="1" applyAlignment="1">
      <alignment horizontal="center"/>
    </xf>
    <xf numFmtId="164" fontId="2" fillId="3" borderId="3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right"/>
    </xf>
    <xf numFmtId="164" fontId="2" fillId="0" borderId="2" xfId="0" quotePrefix="1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164" fontId="0" fillId="0" borderId="1" xfId="0" quotePrefix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5" xfId="0" applyNumberFormat="1" applyFont="1" applyFill="1" applyBorder="1"/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/>
    <xf numFmtId="164" fontId="4" fillId="0" borderId="1" xfId="1" applyNumberFormat="1" applyFont="1" applyFill="1" applyBorder="1" applyAlignment="1">
      <alignment horizontal="right" vertical="center"/>
    </xf>
    <xf numFmtId="164" fontId="0" fillId="0" borderId="0" xfId="1" applyNumberFormat="1" applyFont="1" applyFill="1"/>
    <xf numFmtId="164" fontId="2" fillId="2" borderId="6" xfId="1" applyNumberFormat="1" applyFont="1" applyFill="1" applyBorder="1"/>
    <xf numFmtId="164" fontId="0" fillId="0" borderId="0" xfId="0" applyNumberFormat="1" applyFill="1"/>
    <xf numFmtId="164" fontId="0" fillId="0" borderId="1" xfId="1" applyNumberFormat="1" applyFont="1" applyFill="1" applyBorder="1"/>
    <xf numFmtId="0" fontId="0" fillId="0" borderId="0" xfId="0" applyFont="1" applyFill="1" applyAlignment="1">
      <alignment vertical="center"/>
    </xf>
    <xf numFmtId="164" fontId="1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ont="1" applyFill="1" applyBorder="1"/>
    <xf numFmtId="165" fontId="0" fillId="0" borderId="0" xfId="1" applyNumberFormat="1" applyFont="1" applyFill="1"/>
    <xf numFmtId="165" fontId="1" fillId="0" borderId="0" xfId="1" applyNumberFormat="1" applyFont="1" applyFill="1" applyAlignment="1">
      <alignment vertical="center"/>
    </xf>
    <xf numFmtId="164" fontId="5" fillId="0" borderId="7" xfId="1" applyNumberFormat="1" applyFont="1" applyFill="1" applyBorder="1" applyAlignment="1">
      <alignment horizontal="right"/>
    </xf>
    <xf numFmtId="165" fontId="0" fillId="0" borderId="1" xfId="1" applyNumberFormat="1" applyFont="1" applyFill="1" applyBorder="1"/>
    <xf numFmtId="165" fontId="1" fillId="0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_RESTRICTED%20Finance/Primary%20Care%20Co-Commissioning/Locally%20Commissioned%20Services/LCS%20-%202021-22/Monitoring/Monthly%20Reporting/LCS%20Month%205%20HARD%20CLOSE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"/>
      <sheetName val="Sheet1"/>
    </sheetNames>
    <sheetDataSet>
      <sheetData sheetId="0">
        <row r="13">
          <cell r="B13">
            <v>168027</v>
          </cell>
        </row>
        <row r="16">
          <cell r="B16">
            <v>1488344.0249999999</v>
          </cell>
        </row>
        <row r="17">
          <cell r="B17">
            <v>1190675</v>
          </cell>
        </row>
        <row r="18">
          <cell r="B18">
            <v>462143.25</v>
          </cell>
        </row>
        <row r="19">
          <cell r="B19">
            <v>237835</v>
          </cell>
        </row>
        <row r="20">
          <cell r="B20">
            <v>319640</v>
          </cell>
        </row>
        <row r="21">
          <cell r="B21">
            <v>291500</v>
          </cell>
        </row>
        <row r="22">
          <cell r="B22">
            <v>100800</v>
          </cell>
        </row>
        <row r="23">
          <cell r="B23">
            <v>145074</v>
          </cell>
        </row>
        <row r="24">
          <cell r="B24">
            <v>28950</v>
          </cell>
        </row>
        <row r="25">
          <cell r="B25">
            <v>31072</v>
          </cell>
        </row>
        <row r="26">
          <cell r="B26">
            <v>23000</v>
          </cell>
        </row>
        <row r="27">
          <cell r="B27">
            <v>25347.5</v>
          </cell>
        </row>
        <row r="28">
          <cell r="B28">
            <v>31000</v>
          </cell>
        </row>
        <row r="29">
          <cell r="B29">
            <v>24000</v>
          </cell>
        </row>
        <row r="30">
          <cell r="B30">
            <v>19934</v>
          </cell>
        </row>
        <row r="31">
          <cell r="B31">
            <v>19012.5</v>
          </cell>
        </row>
        <row r="32">
          <cell r="B32">
            <v>6810</v>
          </cell>
        </row>
        <row r="33">
          <cell r="B33">
            <v>9520</v>
          </cell>
        </row>
        <row r="34">
          <cell r="B34">
            <v>7146</v>
          </cell>
        </row>
        <row r="35">
          <cell r="B35">
            <v>6030</v>
          </cell>
        </row>
        <row r="36">
          <cell r="B36">
            <v>3810</v>
          </cell>
        </row>
        <row r="37">
          <cell r="B37">
            <v>2400</v>
          </cell>
        </row>
        <row r="41">
          <cell r="B41">
            <v>333590</v>
          </cell>
        </row>
        <row r="42">
          <cell r="B42">
            <v>75000</v>
          </cell>
        </row>
        <row r="43">
          <cell r="B43">
            <v>2250</v>
          </cell>
        </row>
        <row r="44">
          <cell r="B44">
            <v>1869150</v>
          </cell>
        </row>
        <row r="62">
          <cell r="A62" t="str">
            <v>Practice Resilience</v>
          </cell>
          <cell r="B62">
            <v>40000</v>
          </cell>
        </row>
        <row r="64">
          <cell r="B64">
            <v>74000</v>
          </cell>
        </row>
        <row r="65">
          <cell r="B65">
            <v>138000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showGridLines="0" tabSelected="1" zoomScaleNormal="100" zoomScaleSheetLayoutView="80" workbookViewId="0">
      <pane xSplit="1" ySplit="5" topLeftCell="B76" activePane="bottomRight" state="frozen"/>
      <selection activeCell="A33" sqref="A33"/>
      <selection pane="topRight" activeCell="A33" sqref="A33"/>
      <selection pane="bottomLeft" activeCell="A33" sqref="A33"/>
      <selection pane="bottomRight" activeCell="C84" sqref="C84"/>
    </sheetView>
  </sheetViews>
  <sheetFormatPr defaultColWidth="8.85546875" defaultRowHeight="15" x14ac:dyDescent="0.25"/>
  <cols>
    <col min="1" max="1" width="47.140625" style="1" customWidth="1"/>
    <col min="2" max="4" width="13.140625" style="27" customWidth="1"/>
    <col min="5" max="5" width="1.85546875" style="27" customWidth="1"/>
    <col min="6" max="7" width="13.28515625" style="27" hidden="1" customWidth="1"/>
    <col min="8" max="8" width="11.85546875" style="27" hidden="1" customWidth="1"/>
    <col min="9" max="9" width="1.7109375" style="27" hidden="1" customWidth="1"/>
    <col min="10" max="11" width="11.5703125" style="27" bestFit="1" customWidth="1"/>
    <col min="12" max="16384" width="8.85546875" style="1"/>
  </cols>
  <sheetData>
    <row r="1" spans="1:11" ht="15.75" x14ac:dyDescent="0.25">
      <c r="A1" s="57" t="s">
        <v>20</v>
      </c>
      <c r="B1" s="57"/>
      <c r="C1" s="57"/>
      <c r="D1" s="57"/>
      <c r="E1" s="57"/>
      <c r="F1" s="57"/>
      <c r="G1" s="57"/>
      <c r="H1" s="57"/>
      <c r="I1" s="57"/>
    </row>
    <row r="2" spans="1:11" ht="63" customHeight="1" x14ac:dyDescent="0.25">
      <c r="A2" s="58" t="s">
        <v>61</v>
      </c>
      <c r="B2" s="58"/>
      <c r="C2" s="58"/>
      <c r="D2" s="58"/>
      <c r="E2" s="58"/>
      <c r="F2" s="58"/>
      <c r="G2" s="58"/>
      <c r="H2" s="58"/>
      <c r="I2" s="58"/>
      <c r="J2" s="59"/>
      <c r="K2" s="59"/>
    </row>
    <row r="4" spans="1:11" ht="60" x14ac:dyDescent="0.25">
      <c r="A4" s="16" t="s">
        <v>0</v>
      </c>
      <c r="B4" s="31" t="s">
        <v>49</v>
      </c>
      <c r="C4" s="31" t="s">
        <v>56</v>
      </c>
      <c r="D4" s="31" t="s">
        <v>57</v>
      </c>
      <c r="E4" s="30"/>
      <c r="F4" s="31" t="s">
        <v>24</v>
      </c>
      <c r="G4" s="31" t="s">
        <v>25</v>
      </c>
      <c r="H4" s="31" t="s">
        <v>26</v>
      </c>
      <c r="J4" s="31" t="s">
        <v>62</v>
      </c>
      <c r="K4" s="31" t="s">
        <v>63</v>
      </c>
    </row>
    <row r="5" spans="1:11" x14ac:dyDescent="0.25">
      <c r="A5" s="17"/>
      <c r="B5" s="33" t="s">
        <v>21</v>
      </c>
      <c r="C5" s="33" t="s">
        <v>21</v>
      </c>
      <c r="D5" s="33" t="s">
        <v>21</v>
      </c>
      <c r="E5" s="32"/>
      <c r="F5" s="33" t="s">
        <v>21</v>
      </c>
      <c r="G5" s="33" t="s">
        <v>21</v>
      </c>
      <c r="H5" s="33" t="s">
        <v>21</v>
      </c>
      <c r="J5" s="33" t="s">
        <v>21</v>
      </c>
      <c r="K5" s="33" t="s">
        <v>21</v>
      </c>
    </row>
    <row r="6" spans="1:11" ht="15" customHeight="1" x14ac:dyDescent="0.25">
      <c r="A6" s="3"/>
      <c r="B6" s="34"/>
      <c r="C6" s="34"/>
      <c r="D6" s="34"/>
      <c r="E6" s="34"/>
      <c r="F6" s="35"/>
      <c r="G6" s="36"/>
      <c r="H6" s="36"/>
      <c r="J6" s="36"/>
      <c r="K6" s="36"/>
    </row>
    <row r="7" spans="1:11" ht="15" customHeight="1" x14ac:dyDescent="0.25">
      <c r="A7" s="5" t="s">
        <v>41</v>
      </c>
      <c r="B7" s="23">
        <v>165905</v>
      </c>
      <c r="C7" s="23">
        <v>181402</v>
      </c>
      <c r="D7" s="23">
        <f>B7+C7</f>
        <v>347307</v>
      </c>
      <c r="E7" s="23"/>
      <c r="F7" s="23">
        <v>284073</v>
      </c>
      <c r="G7" s="23">
        <v>288694</v>
      </c>
      <c r="H7" s="23">
        <f>G7-F7</f>
        <v>4621</v>
      </c>
      <c r="J7" s="23">
        <v>364568</v>
      </c>
      <c r="K7" s="23">
        <f>J7-D7</f>
        <v>17261</v>
      </c>
    </row>
    <row r="8" spans="1:11" ht="15" customHeight="1" x14ac:dyDescent="0.25">
      <c r="A8" s="6"/>
      <c r="B8" s="38"/>
      <c r="C8" s="38"/>
      <c r="D8" s="38"/>
      <c r="E8" s="38"/>
      <c r="F8" s="39"/>
      <c r="G8" s="21"/>
      <c r="H8" s="21"/>
      <c r="J8" s="21"/>
      <c r="K8" s="21"/>
    </row>
    <row r="9" spans="1:11" ht="15" customHeight="1" x14ac:dyDescent="0.25">
      <c r="A9" s="5" t="s">
        <v>38</v>
      </c>
      <c r="B9" s="23">
        <f>'[1]Appendix B'!B13</f>
        <v>168027</v>
      </c>
      <c r="C9" s="23">
        <v>162772</v>
      </c>
      <c r="D9" s="23">
        <f>B9+C9</f>
        <v>330799</v>
      </c>
      <c r="E9" s="23"/>
      <c r="F9" s="23">
        <v>276542</v>
      </c>
      <c r="G9" s="23">
        <v>243801</v>
      </c>
      <c r="H9" s="23">
        <f>G9-F9</f>
        <v>-32741</v>
      </c>
      <c r="J9" s="23">
        <v>261199</v>
      </c>
      <c r="K9" s="23">
        <f>J9-D9</f>
        <v>-69600</v>
      </c>
    </row>
    <row r="10" spans="1:11" ht="15" customHeight="1" x14ac:dyDescent="0.25">
      <c r="A10" s="6"/>
      <c r="B10" s="38"/>
      <c r="C10" s="38"/>
      <c r="D10" s="38"/>
      <c r="E10" s="38"/>
      <c r="F10" s="39"/>
      <c r="G10" s="21"/>
      <c r="H10" s="21"/>
      <c r="J10" s="21"/>
      <c r="K10" s="21"/>
    </row>
    <row r="11" spans="1:11" ht="15" customHeight="1" x14ac:dyDescent="0.25">
      <c r="A11" s="5" t="s">
        <v>28</v>
      </c>
      <c r="B11" s="38"/>
      <c r="C11" s="38"/>
      <c r="D11" s="38"/>
      <c r="E11" s="38"/>
      <c r="F11" s="39"/>
      <c r="G11" s="21"/>
      <c r="H11" s="21"/>
      <c r="J11" s="21"/>
      <c r="K11" s="21"/>
    </row>
    <row r="12" spans="1:11" ht="15" customHeight="1" x14ac:dyDescent="0.25">
      <c r="A12" s="7" t="s">
        <v>19</v>
      </c>
      <c r="B12" s="38">
        <f>'[1]Appendix B'!B16</f>
        <v>1488344.0249999999</v>
      </c>
      <c r="C12" s="38">
        <v>1476974</v>
      </c>
      <c r="D12" s="38">
        <f>C12+B12</f>
        <v>2965318.0249999999</v>
      </c>
      <c r="E12" s="38"/>
      <c r="F12" s="55">
        <v>2472993.3583333334</v>
      </c>
      <c r="G12" s="52">
        <v>2461623.875</v>
      </c>
      <c r="H12" s="38">
        <f>G12-F12</f>
        <v>-11369.483333333395</v>
      </c>
      <c r="J12" s="38">
        <v>2953948</v>
      </c>
      <c r="K12" s="38">
        <f>J12-D12</f>
        <v>-11370.024999999907</v>
      </c>
    </row>
    <row r="13" spans="1:11" x14ac:dyDescent="0.25">
      <c r="A13" s="7" t="s">
        <v>33</v>
      </c>
      <c r="B13" s="38">
        <f>'[1]Appendix B'!B17</f>
        <v>1190675</v>
      </c>
      <c r="C13" s="38">
        <v>1181579</v>
      </c>
      <c r="D13" s="38">
        <f t="shared" ref="D13:D33" si="0">C13+B13</f>
        <v>2372254</v>
      </c>
      <c r="E13" s="38"/>
      <c r="F13" s="55">
        <v>1978394.3333333335</v>
      </c>
      <c r="G13" s="52">
        <v>1969299.1</v>
      </c>
      <c r="H13" s="38">
        <f t="shared" ref="H13:H33" si="1">G13-F13</f>
        <v>-9095.2333333333954</v>
      </c>
      <c r="I13" s="40"/>
      <c r="J13" s="38">
        <v>2363148</v>
      </c>
      <c r="K13" s="38">
        <f t="shared" ref="K13:K33" si="2">J13-D13</f>
        <v>-9106</v>
      </c>
    </row>
    <row r="14" spans="1:11" s="8" customFormat="1" ht="15" customHeight="1" x14ac:dyDescent="0.25">
      <c r="A14" s="11" t="s">
        <v>34</v>
      </c>
      <c r="B14" s="38">
        <f>'[1]Appendix B'!B18</f>
        <v>462143.25</v>
      </c>
      <c r="C14" s="38">
        <v>466960</v>
      </c>
      <c r="D14" s="38">
        <f t="shared" si="0"/>
        <v>929103.25</v>
      </c>
      <c r="E14" s="38"/>
      <c r="F14" s="56">
        <v>773449.91666666674</v>
      </c>
      <c r="G14" s="53">
        <v>775275</v>
      </c>
      <c r="H14" s="38">
        <f t="shared" si="1"/>
        <v>1825.0833333332557</v>
      </c>
      <c r="I14" s="41"/>
      <c r="J14" s="38">
        <v>927650</v>
      </c>
      <c r="K14" s="38">
        <f t="shared" si="2"/>
        <v>-1453.25</v>
      </c>
    </row>
    <row r="15" spans="1:11" ht="15" customHeight="1" x14ac:dyDescent="0.25">
      <c r="A15" s="4" t="s">
        <v>2</v>
      </c>
      <c r="B15" s="38">
        <f>'[1]Appendix B'!B19</f>
        <v>237835</v>
      </c>
      <c r="C15" s="38">
        <v>240895</v>
      </c>
      <c r="D15" s="38">
        <f t="shared" si="0"/>
        <v>478730</v>
      </c>
      <c r="E15" s="38"/>
      <c r="F15" s="55">
        <v>398431.66666666663</v>
      </c>
      <c r="G15" s="52">
        <v>401491.69999999995</v>
      </c>
      <c r="H15" s="38">
        <f t="shared" si="1"/>
        <v>3060.0333333333256</v>
      </c>
      <c r="J15" s="38">
        <v>448584</v>
      </c>
      <c r="K15" s="38">
        <f t="shared" si="2"/>
        <v>-30146</v>
      </c>
    </row>
    <row r="16" spans="1:11" ht="15" customHeight="1" x14ac:dyDescent="0.25">
      <c r="A16" s="4" t="s">
        <v>1</v>
      </c>
      <c r="B16" s="38">
        <f>'[1]Appendix B'!B20</f>
        <v>319640</v>
      </c>
      <c r="C16" s="38">
        <v>302996</v>
      </c>
      <c r="D16" s="38">
        <f t="shared" si="0"/>
        <v>622636</v>
      </c>
      <c r="E16" s="38"/>
      <c r="F16" s="55">
        <v>517466.66666666663</v>
      </c>
      <c r="G16" s="52">
        <v>514079.66666666663</v>
      </c>
      <c r="H16" s="38">
        <f t="shared" si="1"/>
        <v>-3387</v>
      </c>
      <c r="J16" s="38">
        <v>626713</v>
      </c>
      <c r="K16" s="38">
        <f t="shared" si="2"/>
        <v>4077</v>
      </c>
    </row>
    <row r="17" spans="1:11" ht="15" customHeight="1" x14ac:dyDescent="0.25">
      <c r="A17" s="7" t="s">
        <v>18</v>
      </c>
      <c r="B17" s="38">
        <f>'[1]Appendix B'!B21</f>
        <v>291500</v>
      </c>
      <c r="C17" s="38">
        <v>291500</v>
      </c>
      <c r="D17" s="38">
        <f t="shared" si="0"/>
        <v>583000</v>
      </c>
      <c r="E17" s="38"/>
      <c r="F17" s="55">
        <v>485833.33333333337</v>
      </c>
      <c r="G17" s="52">
        <v>485833.33333333337</v>
      </c>
      <c r="H17" s="38">
        <f t="shared" si="1"/>
        <v>0</v>
      </c>
      <c r="J17" s="38">
        <v>582992</v>
      </c>
      <c r="K17" s="38">
        <f t="shared" si="2"/>
        <v>-8</v>
      </c>
    </row>
    <row r="18" spans="1:11" ht="15" customHeight="1" x14ac:dyDescent="0.25">
      <c r="A18" s="4" t="s">
        <v>16</v>
      </c>
      <c r="B18" s="38">
        <f>'[1]Appendix B'!B22</f>
        <v>100800</v>
      </c>
      <c r="C18" s="38">
        <v>103357</v>
      </c>
      <c r="D18" s="38">
        <f t="shared" si="0"/>
        <v>204157</v>
      </c>
      <c r="E18" s="38"/>
      <c r="F18" s="55">
        <v>169184.56</v>
      </c>
      <c r="G18" s="52">
        <v>192111</v>
      </c>
      <c r="H18" s="38">
        <f t="shared" si="1"/>
        <v>22926.440000000002</v>
      </c>
      <c r="J18" s="38">
        <v>233162</v>
      </c>
      <c r="K18" s="38">
        <f t="shared" si="2"/>
        <v>29005</v>
      </c>
    </row>
    <row r="19" spans="1:11" ht="15" customHeight="1" x14ac:dyDescent="0.25">
      <c r="A19" s="4" t="s">
        <v>6</v>
      </c>
      <c r="B19" s="38">
        <f>'[1]Appendix B'!B23</f>
        <v>145074</v>
      </c>
      <c r="C19" s="38">
        <v>155829</v>
      </c>
      <c r="D19" s="38">
        <f t="shared" si="0"/>
        <v>300903</v>
      </c>
      <c r="E19" s="38"/>
      <c r="F19" s="55">
        <v>248027.66666666669</v>
      </c>
      <c r="G19" s="52">
        <v>266210.33333333331</v>
      </c>
      <c r="H19" s="38">
        <f t="shared" si="1"/>
        <v>18182.666666666628</v>
      </c>
      <c r="J19" s="38">
        <v>328294</v>
      </c>
      <c r="K19" s="38">
        <f t="shared" si="2"/>
        <v>27391</v>
      </c>
    </row>
    <row r="20" spans="1:11" ht="15" customHeight="1" x14ac:dyDescent="0.25">
      <c r="A20" s="4" t="s">
        <v>23</v>
      </c>
      <c r="B20" s="38">
        <f>'[1]Appendix B'!B24</f>
        <v>28950</v>
      </c>
      <c r="C20" s="38">
        <v>36590</v>
      </c>
      <c r="D20" s="38">
        <f t="shared" si="0"/>
        <v>65540</v>
      </c>
      <c r="E20" s="38"/>
      <c r="F20" s="55">
        <v>53343.333333333328</v>
      </c>
      <c r="G20" s="52">
        <v>66566</v>
      </c>
      <c r="H20" s="38">
        <f t="shared" si="1"/>
        <v>13222.666666666672</v>
      </c>
      <c r="J20" s="38">
        <v>83546</v>
      </c>
      <c r="K20" s="38">
        <f t="shared" si="2"/>
        <v>18006</v>
      </c>
    </row>
    <row r="21" spans="1:11" ht="15" customHeight="1" x14ac:dyDescent="0.25">
      <c r="A21" s="4" t="s">
        <v>52</v>
      </c>
      <c r="B21" s="38">
        <f>'[1]Appendix B'!B25+'[1]Appendix B'!B26</f>
        <v>54072</v>
      </c>
      <c r="C21" s="38">
        <v>54907</v>
      </c>
      <c r="D21" s="38">
        <f t="shared" si="0"/>
        <v>108979</v>
      </c>
      <c r="E21" s="38"/>
      <c r="F21" s="55">
        <f>51667+39168.39</f>
        <v>90835.39</v>
      </c>
      <c r="G21" s="52">
        <f>52571+58398</f>
        <v>110969</v>
      </c>
      <c r="H21" s="38">
        <f t="shared" si="1"/>
        <v>20133.61</v>
      </c>
      <c r="J21" s="38">
        <f>63048+76072</f>
        <v>139120</v>
      </c>
      <c r="K21" s="38">
        <f t="shared" si="2"/>
        <v>30141</v>
      </c>
    </row>
    <row r="22" spans="1:11" ht="15" customHeight="1" x14ac:dyDescent="0.25">
      <c r="A22" s="4" t="s">
        <v>10</v>
      </c>
      <c r="B22" s="38">
        <f>'[1]Appendix B'!B27</f>
        <v>25347.5</v>
      </c>
      <c r="C22" s="38">
        <v>6409</v>
      </c>
      <c r="D22" s="38">
        <f t="shared" si="0"/>
        <v>31756.5</v>
      </c>
      <c r="E22" s="38"/>
      <c r="F22" s="55">
        <v>27112.166666666664</v>
      </c>
      <c r="G22" s="38">
        <v>-4190</v>
      </c>
      <c r="H22" s="38">
        <f t="shared" si="1"/>
        <v>-31302.166666666664</v>
      </c>
      <c r="J22" s="38">
        <v>-4050</v>
      </c>
      <c r="K22" s="38">
        <f t="shared" si="2"/>
        <v>-35806.5</v>
      </c>
    </row>
    <row r="23" spans="1:11" ht="15" customHeight="1" x14ac:dyDescent="0.25">
      <c r="A23" s="4" t="s">
        <v>11</v>
      </c>
      <c r="B23" s="38">
        <f>'[1]Appendix B'!B28</f>
        <v>31000</v>
      </c>
      <c r="C23" s="38">
        <v>31333</v>
      </c>
      <c r="D23" s="38">
        <f t="shared" si="0"/>
        <v>62333</v>
      </c>
      <c r="E23" s="38"/>
      <c r="F23" s="55">
        <v>51586.333333333328</v>
      </c>
      <c r="G23" s="52">
        <v>53909.666666666664</v>
      </c>
      <c r="H23" s="38">
        <f t="shared" si="1"/>
        <v>2323.3333333333358</v>
      </c>
      <c r="J23" s="38">
        <v>66294</v>
      </c>
      <c r="K23" s="38">
        <f t="shared" si="2"/>
        <v>3961</v>
      </c>
    </row>
    <row r="24" spans="1:11" ht="15" customHeight="1" x14ac:dyDescent="0.25">
      <c r="A24" s="4" t="s">
        <v>3</v>
      </c>
      <c r="B24" s="38">
        <f>'[1]Appendix B'!B29</f>
        <v>24000</v>
      </c>
      <c r="C24" s="38">
        <v>24000</v>
      </c>
      <c r="D24" s="38">
        <f t="shared" si="0"/>
        <v>48000</v>
      </c>
      <c r="E24" s="38"/>
      <c r="F24" s="55">
        <v>40000</v>
      </c>
      <c r="G24" s="52">
        <v>40000</v>
      </c>
      <c r="H24" s="38">
        <f t="shared" si="1"/>
        <v>0</v>
      </c>
      <c r="J24" s="38">
        <v>48000</v>
      </c>
      <c r="K24" s="38">
        <f t="shared" si="2"/>
        <v>0</v>
      </c>
    </row>
    <row r="25" spans="1:11" ht="15" customHeight="1" x14ac:dyDescent="0.25">
      <c r="A25" s="4" t="s">
        <v>4</v>
      </c>
      <c r="B25" s="38">
        <f>'[1]Appendix B'!B30</f>
        <v>19934</v>
      </c>
      <c r="C25" s="38">
        <v>21692</v>
      </c>
      <c r="D25" s="38">
        <f t="shared" si="0"/>
        <v>41626</v>
      </c>
      <c r="E25" s="38"/>
      <c r="F25" s="55">
        <v>34360.06</v>
      </c>
      <c r="G25" s="52">
        <v>33712.509999999995</v>
      </c>
      <c r="H25" s="38">
        <f t="shared" si="1"/>
        <v>-647.55000000000291</v>
      </c>
      <c r="J25" s="38">
        <v>40542</v>
      </c>
      <c r="K25" s="38">
        <f t="shared" si="2"/>
        <v>-1084</v>
      </c>
    </row>
    <row r="26" spans="1:11" ht="15" customHeight="1" x14ac:dyDescent="0.25">
      <c r="A26" s="4" t="s">
        <v>8</v>
      </c>
      <c r="B26" s="38">
        <f>'[1]Appendix B'!B31</f>
        <v>19012.5</v>
      </c>
      <c r="C26" s="38">
        <v>21166</v>
      </c>
      <c r="D26" s="38">
        <f t="shared" si="0"/>
        <v>40178.5</v>
      </c>
      <c r="E26" s="38"/>
      <c r="F26" s="55">
        <v>33069.166666666664</v>
      </c>
      <c r="G26" s="52">
        <v>20694.666666666668</v>
      </c>
      <c r="H26" s="38">
        <f t="shared" si="1"/>
        <v>-12374.499999999996</v>
      </c>
      <c r="J26" s="38">
        <v>21618</v>
      </c>
      <c r="K26" s="38">
        <f t="shared" si="2"/>
        <v>-18560.5</v>
      </c>
    </row>
    <row r="27" spans="1:11" ht="15" customHeight="1" x14ac:dyDescent="0.25">
      <c r="A27" s="4" t="s">
        <v>7</v>
      </c>
      <c r="B27" s="38">
        <f>'[1]Appendix B'!B32</f>
        <v>6810</v>
      </c>
      <c r="C27" s="38">
        <v>-3656</v>
      </c>
      <c r="D27" s="38">
        <f t="shared" si="0"/>
        <v>3154</v>
      </c>
      <c r="E27" s="38"/>
      <c r="F27" s="55">
        <v>2562</v>
      </c>
      <c r="G27" s="52">
        <v>3851.3333333333321</v>
      </c>
      <c r="H27" s="38">
        <f t="shared" si="1"/>
        <v>1289.3333333333321</v>
      </c>
      <c r="J27" s="38">
        <v>4348</v>
      </c>
      <c r="K27" s="38">
        <f t="shared" si="2"/>
        <v>1194</v>
      </c>
    </row>
    <row r="28" spans="1:11" ht="15" customHeight="1" x14ac:dyDescent="0.25">
      <c r="A28" s="4" t="s">
        <v>64</v>
      </c>
      <c r="B28" s="38">
        <v>0</v>
      </c>
      <c r="C28" s="38">
        <v>0</v>
      </c>
      <c r="D28" s="38">
        <f t="shared" si="0"/>
        <v>0</v>
      </c>
      <c r="E28" s="38"/>
      <c r="F28" s="55"/>
      <c r="G28" s="52"/>
      <c r="H28" s="38"/>
      <c r="J28" s="38">
        <v>406</v>
      </c>
      <c r="K28" s="38">
        <f t="shared" si="2"/>
        <v>406</v>
      </c>
    </row>
    <row r="29" spans="1:11" ht="15" customHeight="1" x14ac:dyDescent="0.25">
      <c r="A29" s="4" t="s">
        <v>5</v>
      </c>
      <c r="B29" s="38">
        <f>'[1]Appendix B'!B33</f>
        <v>9520</v>
      </c>
      <c r="C29" s="38">
        <v>9327</v>
      </c>
      <c r="D29" s="38">
        <f t="shared" si="0"/>
        <v>18847</v>
      </c>
      <c r="E29" s="38"/>
      <c r="F29" s="55">
        <v>15673.666666666668</v>
      </c>
      <c r="G29" s="52">
        <v>15673.666666666668</v>
      </c>
      <c r="H29" s="38">
        <f t="shared" si="1"/>
        <v>0</v>
      </c>
      <c r="J29" s="38">
        <v>18847</v>
      </c>
      <c r="K29" s="38">
        <f t="shared" si="2"/>
        <v>0</v>
      </c>
    </row>
    <row r="30" spans="1:11" ht="15" customHeight="1" x14ac:dyDescent="0.25">
      <c r="A30" s="4" t="s">
        <v>12</v>
      </c>
      <c r="B30" s="38">
        <f>'[1]Appendix B'!B34</f>
        <v>7146</v>
      </c>
      <c r="C30" s="38">
        <v>6719</v>
      </c>
      <c r="D30" s="38">
        <f t="shared" si="0"/>
        <v>13865</v>
      </c>
      <c r="E30" s="38"/>
      <c r="F30" s="55">
        <v>11483</v>
      </c>
      <c r="G30" s="52">
        <v>11483</v>
      </c>
      <c r="H30" s="38">
        <f t="shared" si="1"/>
        <v>0</v>
      </c>
      <c r="J30" s="38">
        <v>13865</v>
      </c>
      <c r="K30" s="38">
        <f t="shared" si="2"/>
        <v>0</v>
      </c>
    </row>
    <row r="31" spans="1:11" ht="15" customHeight="1" x14ac:dyDescent="0.25">
      <c r="A31" s="4" t="s">
        <v>9</v>
      </c>
      <c r="B31" s="38">
        <f>'[1]Appendix B'!B35</f>
        <v>6030</v>
      </c>
      <c r="C31" s="38">
        <v>5820</v>
      </c>
      <c r="D31" s="38">
        <f t="shared" si="0"/>
        <v>11850</v>
      </c>
      <c r="E31" s="38"/>
      <c r="F31" s="55">
        <v>9840.6666666666661</v>
      </c>
      <c r="G31" s="52">
        <v>5707</v>
      </c>
      <c r="H31" s="38">
        <f t="shared" si="1"/>
        <v>-4133.6666666666661</v>
      </c>
      <c r="I31" s="40"/>
      <c r="J31" s="38">
        <v>5707</v>
      </c>
      <c r="K31" s="38">
        <f t="shared" si="2"/>
        <v>-6143</v>
      </c>
    </row>
    <row r="32" spans="1:11" ht="15" customHeight="1" x14ac:dyDescent="0.25">
      <c r="A32" s="4" t="s">
        <v>17</v>
      </c>
      <c r="B32" s="38">
        <f>'[1]Appendix B'!B36</f>
        <v>3810</v>
      </c>
      <c r="C32" s="38">
        <v>2562</v>
      </c>
      <c r="D32" s="38">
        <f t="shared" si="0"/>
        <v>6372</v>
      </c>
      <c r="E32" s="38"/>
      <c r="F32" s="55">
        <v>5360</v>
      </c>
      <c r="G32" s="52">
        <v>4586</v>
      </c>
      <c r="H32" s="38">
        <f t="shared" si="1"/>
        <v>-774</v>
      </c>
      <c r="J32" s="38">
        <v>6115</v>
      </c>
      <c r="K32" s="38">
        <f t="shared" si="2"/>
        <v>-257</v>
      </c>
    </row>
    <row r="33" spans="1:11" ht="15" customHeight="1" x14ac:dyDescent="0.25">
      <c r="A33" s="4" t="s">
        <v>45</v>
      </c>
      <c r="B33" s="38">
        <f>'[1]Appendix B'!B37</f>
        <v>2400</v>
      </c>
      <c r="C33" s="38">
        <v>1720</v>
      </c>
      <c r="D33" s="38">
        <f t="shared" si="0"/>
        <v>4120</v>
      </c>
      <c r="E33" s="38"/>
      <c r="F33" s="55">
        <v>3280</v>
      </c>
      <c r="G33" s="52">
        <v>7506.6666666666661</v>
      </c>
      <c r="H33" s="38">
        <f t="shared" si="1"/>
        <v>4226.6666666666661</v>
      </c>
      <c r="J33" s="38">
        <v>10980</v>
      </c>
      <c r="K33" s="38">
        <f t="shared" si="2"/>
        <v>6860</v>
      </c>
    </row>
    <row r="34" spans="1:11" ht="15" customHeight="1" x14ac:dyDescent="0.25">
      <c r="A34" s="5" t="s">
        <v>40</v>
      </c>
      <c r="B34" s="23">
        <f>SUM(B12:B33)</f>
        <v>4474043.2750000004</v>
      </c>
      <c r="C34" s="23">
        <f>SUM(C12:C33)</f>
        <v>4438679</v>
      </c>
      <c r="D34" s="23">
        <f>SUM(D12:D33)</f>
        <v>8912722.2750000004</v>
      </c>
      <c r="E34" s="23"/>
      <c r="F34" s="23">
        <f t="shared" ref="F34:J34" si="3">SUM(F12:F33)</f>
        <v>7422287.2850000001</v>
      </c>
      <c r="G34" s="54">
        <f t="shared" si="3"/>
        <v>7436393.5183333335</v>
      </c>
      <c r="H34" s="23">
        <f t="shared" si="3"/>
        <v>14106.233333333097</v>
      </c>
      <c r="J34" s="23">
        <f t="shared" si="3"/>
        <v>8919829</v>
      </c>
      <c r="K34" s="23">
        <f>SUM(K12:K33)</f>
        <v>7106.7250000000931</v>
      </c>
    </row>
    <row r="35" spans="1:11" ht="15" customHeight="1" x14ac:dyDescent="0.25">
      <c r="A35" s="6"/>
      <c r="B35" s="38"/>
      <c r="C35" s="38"/>
      <c r="D35" s="38"/>
      <c r="E35" s="38"/>
      <c r="F35" s="39"/>
      <c r="G35" s="21"/>
      <c r="H35" s="21"/>
      <c r="J35" s="21"/>
      <c r="K35" s="21"/>
    </row>
    <row r="36" spans="1:11" ht="15" customHeight="1" x14ac:dyDescent="0.25">
      <c r="A36" s="5" t="s">
        <v>59</v>
      </c>
      <c r="B36" s="23"/>
      <c r="C36" s="23"/>
      <c r="D36" s="23"/>
      <c r="E36" s="23"/>
      <c r="F36" s="23"/>
      <c r="G36" s="21"/>
      <c r="H36" s="21"/>
      <c r="J36" s="21"/>
      <c r="K36" s="21"/>
    </row>
    <row r="37" spans="1:11" ht="15" customHeight="1" x14ac:dyDescent="0.25">
      <c r="A37" s="6" t="s">
        <v>29</v>
      </c>
      <c r="B37" s="38">
        <f>'[1]Appendix B'!B41</f>
        <v>333590</v>
      </c>
      <c r="C37" s="38">
        <v>333590</v>
      </c>
      <c r="D37" s="38">
        <f t="shared" ref="D37:D40" si="4">C37+B37</f>
        <v>667180</v>
      </c>
      <c r="E37" s="38"/>
      <c r="F37" s="38">
        <v>555983.33333333337</v>
      </c>
      <c r="G37" s="38">
        <v>555983.33333333337</v>
      </c>
      <c r="H37" s="38">
        <f t="shared" ref="H37:H40" si="5">G37-F37</f>
        <v>0</v>
      </c>
      <c r="J37" s="38">
        <v>667700</v>
      </c>
      <c r="K37" s="38">
        <f t="shared" ref="K37:K40" si="6">J37-D37</f>
        <v>520</v>
      </c>
    </row>
    <row r="38" spans="1:11" ht="15" customHeight="1" x14ac:dyDescent="0.25">
      <c r="A38" s="6" t="s">
        <v>43</v>
      </c>
      <c r="B38" s="38">
        <f>'[1]Appendix B'!B42</f>
        <v>75000</v>
      </c>
      <c r="C38" s="38">
        <v>78700</v>
      </c>
      <c r="D38" s="38">
        <f t="shared" si="4"/>
        <v>153700</v>
      </c>
      <c r="E38" s="38"/>
      <c r="F38" s="38">
        <v>127466.66666666666</v>
      </c>
      <c r="G38" s="38">
        <v>131166.66666666666</v>
      </c>
      <c r="H38" s="38">
        <f t="shared" si="5"/>
        <v>3700</v>
      </c>
      <c r="J38" s="38">
        <v>157400</v>
      </c>
      <c r="K38" s="38">
        <f t="shared" si="6"/>
        <v>3700</v>
      </c>
    </row>
    <row r="39" spans="1:11" ht="15" customHeight="1" x14ac:dyDescent="0.25">
      <c r="A39" s="6" t="s">
        <v>30</v>
      </c>
      <c r="B39" s="38">
        <f>'[1]Appendix B'!B43</f>
        <v>2250</v>
      </c>
      <c r="C39" s="38">
        <v>0</v>
      </c>
      <c r="D39" s="38">
        <f t="shared" si="4"/>
        <v>2250</v>
      </c>
      <c r="E39" s="38"/>
      <c r="F39" s="38">
        <v>2250</v>
      </c>
      <c r="G39" s="38">
        <v>0</v>
      </c>
      <c r="H39" s="38">
        <f t="shared" si="5"/>
        <v>-2250</v>
      </c>
      <c r="J39" s="38">
        <v>0</v>
      </c>
      <c r="K39" s="38">
        <f t="shared" si="6"/>
        <v>-2250</v>
      </c>
    </row>
    <row r="40" spans="1:11" ht="15" customHeight="1" x14ac:dyDescent="0.25">
      <c r="A40" s="6" t="s">
        <v>27</v>
      </c>
      <c r="B40" s="38">
        <f>'[1]Appendix B'!B44</f>
        <v>1869150</v>
      </c>
      <c r="C40" s="38">
        <v>1869150</v>
      </c>
      <c r="D40" s="38">
        <f t="shared" si="4"/>
        <v>3738300</v>
      </c>
      <c r="E40" s="38"/>
      <c r="F40" s="38">
        <v>3115250</v>
      </c>
      <c r="G40" s="38">
        <v>3115249.666666667</v>
      </c>
      <c r="H40" s="38">
        <f t="shared" si="5"/>
        <v>-0.33333333302289248</v>
      </c>
      <c r="J40" s="38">
        <v>3738300</v>
      </c>
      <c r="K40" s="38">
        <f t="shared" si="6"/>
        <v>0</v>
      </c>
    </row>
    <row r="41" spans="1:11" ht="15" customHeight="1" x14ac:dyDescent="0.25">
      <c r="A41" s="5" t="s">
        <v>55</v>
      </c>
      <c r="B41" s="23">
        <f>SUM(B37:B40)</f>
        <v>2279990</v>
      </c>
      <c r="C41" s="23">
        <f>SUM(C37:C40)</f>
        <v>2281440</v>
      </c>
      <c r="D41" s="23">
        <f>SUM(D37:D40)</f>
        <v>4561430</v>
      </c>
      <c r="E41" s="23"/>
      <c r="F41" s="23">
        <f t="shared" ref="F41:H41" si="7">SUM(F37:F40)</f>
        <v>3800950</v>
      </c>
      <c r="G41" s="23">
        <f t="shared" si="7"/>
        <v>3802399.666666667</v>
      </c>
      <c r="H41" s="23">
        <f t="shared" si="7"/>
        <v>1449.6666666669771</v>
      </c>
      <c r="J41" s="23">
        <f t="shared" ref="J41:K41" si="8">SUM(J37:J40)</f>
        <v>4563400</v>
      </c>
      <c r="K41" s="23">
        <f t="shared" si="8"/>
        <v>1970</v>
      </c>
    </row>
    <row r="42" spans="1:11" ht="15" customHeight="1" x14ac:dyDescent="0.25">
      <c r="A42" s="5"/>
      <c r="B42" s="23"/>
      <c r="C42" s="23"/>
      <c r="D42" s="23"/>
      <c r="E42" s="23"/>
      <c r="F42" s="23"/>
      <c r="G42" s="21"/>
      <c r="H42" s="21"/>
      <c r="J42" s="21"/>
      <c r="K42" s="21"/>
    </row>
    <row r="43" spans="1:11" ht="15" customHeight="1" x14ac:dyDescent="0.25">
      <c r="A43" s="5" t="s">
        <v>31</v>
      </c>
      <c r="B43" s="23"/>
      <c r="C43" s="23"/>
      <c r="D43" s="23"/>
      <c r="E43" s="23"/>
      <c r="F43" s="23"/>
      <c r="G43" s="21"/>
      <c r="H43" s="21"/>
      <c r="J43" s="21"/>
      <c r="K43" s="21"/>
    </row>
    <row r="44" spans="1:11" ht="15" customHeight="1" x14ac:dyDescent="0.25">
      <c r="A44" s="6" t="s">
        <v>50</v>
      </c>
      <c r="B44" s="38">
        <f>50000+16667</f>
        <v>66667</v>
      </c>
      <c r="C44" s="38">
        <v>66667</v>
      </c>
      <c r="D44" s="38">
        <f t="shared" ref="D44:D49" si="9">C44+B44</f>
        <v>133334</v>
      </c>
      <c r="E44" s="38"/>
      <c r="F44" s="37">
        <v>111002</v>
      </c>
      <c r="G44" s="37">
        <v>82555</v>
      </c>
      <c r="H44" s="38">
        <f t="shared" ref="H44:H49" si="10">G44-F44</f>
        <v>-28447</v>
      </c>
      <c r="J44" s="37">
        <f>73348+33333</f>
        <v>106681</v>
      </c>
      <c r="K44" s="38">
        <f t="shared" ref="K44:K49" si="11">J44-D44</f>
        <v>-26653</v>
      </c>
    </row>
    <row r="45" spans="1:11" ht="15" customHeight="1" x14ac:dyDescent="0.25">
      <c r="A45" s="9" t="s">
        <v>13</v>
      </c>
      <c r="B45" s="47">
        <v>832731</v>
      </c>
      <c r="C45" s="47">
        <v>-423273</v>
      </c>
      <c r="D45" s="38">
        <f t="shared" si="9"/>
        <v>409458</v>
      </c>
      <c r="E45" s="38"/>
      <c r="F45" s="37">
        <v>205053</v>
      </c>
      <c r="G45" s="37">
        <v>126548</v>
      </c>
      <c r="H45" s="38">
        <f t="shared" si="10"/>
        <v>-78505</v>
      </c>
      <c r="J45" s="37">
        <v>163367</v>
      </c>
      <c r="K45" s="38">
        <f t="shared" si="11"/>
        <v>-246091</v>
      </c>
    </row>
    <row r="46" spans="1:11" ht="15" customHeight="1" x14ac:dyDescent="0.25">
      <c r="A46" s="9" t="s">
        <v>47</v>
      </c>
      <c r="B46" s="47">
        <v>563550</v>
      </c>
      <c r="C46" s="47">
        <v>567550</v>
      </c>
      <c r="D46" s="38">
        <f t="shared" si="9"/>
        <v>1131100</v>
      </c>
      <c r="E46" s="38"/>
      <c r="F46" s="37">
        <v>942583</v>
      </c>
      <c r="G46" s="37">
        <v>890067</v>
      </c>
      <c r="H46" s="38">
        <f t="shared" si="10"/>
        <v>-52516</v>
      </c>
      <c r="J46" s="37">
        <v>761777</v>
      </c>
      <c r="K46" s="38">
        <f t="shared" si="11"/>
        <v>-369323</v>
      </c>
    </row>
    <row r="47" spans="1:11" ht="15" customHeight="1" x14ac:dyDescent="0.25">
      <c r="A47" s="9" t="s">
        <v>22</v>
      </c>
      <c r="B47" s="47">
        <v>9461.5</v>
      </c>
      <c r="C47" s="47">
        <v>9461.5</v>
      </c>
      <c r="D47" s="38">
        <f t="shared" si="9"/>
        <v>18923</v>
      </c>
      <c r="E47" s="38"/>
      <c r="F47" s="37">
        <v>15769.166666666668</v>
      </c>
      <c r="G47" s="37">
        <v>15769.166666666668</v>
      </c>
      <c r="H47" s="38">
        <f t="shared" si="10"/>
        <v>0</v>
      </c>
      <c r="J47" s="37">
        <v>18923</v>
      </c>
      <c r="K47" s="38">
        <f t="shared" si="11"/>
        <v>0</v>
      </c>
    </row>
    <row r="48" spans="1:11" ht="15" customHeight="1" x14ac:dyDescent="0.25">
      <c r="A48" s="9" t="s">
        <v>32</v>
      </c>
      <c r="B48" s="47">
        <v>17065</v>
      </c>
      <c r="C48" s="47">
        <v>17065</v>
      </c>
      <c r="D48" s="38">
        <f t="shared" si="9"/>
        <v>34130</v>
      </c>
      <c r="E48" s="38"/>
      <c r="F48" s="37">
        <v>28443</v>
      </c>
      <c r="G48" s="37">
        <v>28548</v>
      </c>
      <c r="H48" s="38">
        <f t="shared" si="10"/>
        <v>105</v>
      </c>
      <c r="J48" s="37">
        <v>34133</v>
      </c>
      <c r="K48" s="38">
        <f t="shared" si="11"/>
        <v>3</v>
      </c>
    </row>
    <row r="49" spans="1:11" ht="15" customHeight="1" x14ac:dyDescent="0.25">
      <c r="A49" s="9" t="s">
        <v>14</v>
      </c>
      <c r="B49" s="47">
        <v>265372</v>
      </c>
      <c r="C49" s="47">
        <v>336836</v>
      </c>
      <c r="D49" s="38">
        <f t="shared" si="9"/>
        <v>602208</v>
      </c>
      <c r="E49" s="38"/>
      <c r="F49" s="37">
        <v>489929.33333333337</v>
      </c>
      <c r="G49" s="37">
        <v>528236</v>
      </c>
      <c r="H49" s="38">
        <f t="shared" si="10"/>
        <v>38306.666666666628</v>
      </c>
      <c r="J49" s="49">
        <v>649340</v>
      </c>
      <c r="K49" s="38">
        <f t="shared" si="11"/>
        <v>47132</v>
      </c>
    </row>
    <row r="50" spans="1:11" s="2" customFormat="1" ht="15" customHeight="1" x14ac:dyDescent="0.25">
      <c r="A50" s="3" t="s">
        <v>15</v>
      </c>
      <c r="B50" s="24">
        <f>SUM(B44:B49)</f>
        <v>1754846.5</v>
      </c>
      <c r="C50" s="24">
        <f>SUM(C44:C49)</f>
        <v>574306.5</v>
      </c>
      <c r="D50" s="24">
        <f>SUM(D44:D49)</f>
        <v>2329153</v>
      </c>
      <c r="E50" s="24"/>
      <c r="F50" s="24">
        <f t="shared" ref="F50:H50" si="12">SUM(F44:F49)</f>
        <v>1792779.5</v>
      </c>
      <c r="G50" s="24">
        <f t="shared" si="12"/>
        <v>1671723.1666666667</v>
      </c>
      <c r="H50" s="24">
        <f t="shared" si="12"/>
        <v>-121056.33333333337</v>
      </c>
      <c r="I50" s="42"/>
      <c r="J50" s="24">
        <f>SUM(J44:J49)</f>
        <v>1734221</v>
      </c>
      <c r="K50" s="24">
        <f>SUM(K44:K49)</f>
        <v>-594932</v>
      </c>
    </row>
    <row r="51" spans="1:11" ht="15" customHeight="1" x14ac:dyDescent="0.25">
      <c r="A51" s="9"/>
      <c r="B51" s="21"/>
      <c r="C51" s="21"/>
      <c r="D51" s="21"/>
      <c r="E51" s="21"/>
      <c r="F51" s="21"/>
      <c r="G51" s="21"/>
      <c r="H51" s="21"/>
      <c r="J51" s="21"/>
      <c r="K51" s="21"/>
    </row>
    <row r="52" spans="1:11" ht="15" customHeight="1" x14ac:dyDescent="0.25">
      <c r="A52" s="3" t="s">
        <v>53</v>
      </c>
      <c r="B52" s="21"/>
      <c r="C52" s="21"/>
      <c r="D52" s="21"/>
      <c r="E52" s="21"/>
      <c r="F52" s="21"/>
      <c r="G52" s="21"/>
      <c r="H52" s="21"/>
      <c r="J52" s="21"/>
      <c r="K52" s="21"/>
    </row>
    <row r="53" spans="1:11" ht="15" customHeight="1" x14ac:dyDescent="0.25">
      <c r="A53" s="9" t="s">
        <v>65</v>
      </c>
      <c r="B53" s="21">
        <v>0</v>
      </c>
      <c r="C53" s="21">
        <v>895979</v>
      </c>
      <c r="D53" s="38">
        <f t="shared" ref="D53:D58" si="13">C53+B53</f>
        <v>895979</v>
      </c>
      <c r="E53" s="21"/>
      <c r="F53" s="21"/>
      <c r="G53" s="21"/>
      <c r="H53" s="21"/>
      <c r="J53" s="21">
        <v>895979</v>
      </c>
      <c r="K53" s="38">
        <f t="shared" ref="K53:K58" si="14">J53-D53</f>
        <v>0</v>
      </c>
    </row>
    <row r="54" spans="1:11" ht="15" customHeight="1" x14ac:dyDescent="0.25">
      <c r="A54" s="9" t="s">
        <v>66</v>
      </c>
      <c r="B54" s="21">
        <v>0</v>
      </c>
      <c r="C54" s="21">
        <v>0</v>
      </c>
      <c r="D54" s="38">
        <f t="shared" si="13"/>
        <v>0</v>
      </c>
      <c r="E54" s="21"/>
      <c r="F54" s="21"/>
      <c r="G54" s="21"/>
      <c r="H54" s="21"/>
      <c r="J54" s="21">
        <v>-376</v>
      </c>
      <c r="K54" s="38">
        <f t="shared" si="14"/>
        <v>-376</v>
      </c>
    </row>
    <row r="55" spans="1:11" ht="15" customHeight="1" x14ac:dyDescent="0.25">
      <c r="A55" s="9" t="s">
        <v>67</v>
      </c>
      <c r="B55" s="21">
        <v>0</v>
      </c>
      <c r="C55" s="21">
        <v>30000</v>
      </c>
      <c r="D55" s="38">
        <f t="shared" si="13"/>
        <v>30000</v>
      </c>
      <c r="E55" s="21"/>
      <c r="F55" s="21"/>
      <c r="G55" s="21"/>
      <c r="H55" s="21"/>
      <c r="J55" s="21">
        <v>30000</v>
      </c>
      <c r="K55" s="38">
        <f t="shared" si="14"/>
        <v>0</v>
      </c>
    </row>
    <row r="56" spans="1:11" ht="15" customHeight="1" x14ac:dyDescent="0.25">
      <c r="A56" s="9" t="s">
        <v>68</v>
      </c>
      <c r="B56" s="21">
        <v>0</v>
      </c>
      <c r="C56" s="21">
        <v>69000</v>
      </c>
      <c r="D56" s="38">
        <f t="shared" si="13"/>
        <v>69000</v>
      </c>
      <c r="E56" s="21"/>
      <c r="F56" s="21"/>
      <c r="G56" s="21"/>
      <c r="H56" s="21"/>
      <c r="J56" s="21">
        <v>69000</v>
      </c>
      <c r="K56" s="38">
        <f t="shared" si="14"/>
        <v>0</v>
      </c>
    </row>
    <row r="57" spans="1:11" ht="15" customHeight="1" x14ac:dyDescent="0.25">
      <c r="A57" s="9" t="s">
        <v>69</v>
      </c>
      <c r="B57" s="21">
        <v>0</v>
      </c>
      <c r="C57" s="21">
        <v>45000</v>
      </c>
      <c r="D57" s="38">
        <f t="shared" si="13"/>
        <v>45000</v>
      </c>
      <c r="E57" s="21"/>
      <c r="F57" s="21"/>
      <c r="G57" s="21"/>
      <c r="H57" s="21"/>
      <c r="J57" s="21">
        <v>54252</v>
      </c>
      <c r="K57" s="38">
        <f t="shared" si="14"/>
        <v>9252</v>
      </c>
    </row>
    <row r="58" spans="1:11" ht="15" customHeight="1" x14ac:dyDescent="0.25">
      <c r="A58" s="9" t="s">
        <v>70</v>
      </c>
      <c r="B58" s="21">
        <v>0</v>
      </c>
      <c r="C58" s="21">
        <v>50000</v>
      </c>
      <c r="D58" s="38">
        <f t="shared" si="13"/>
        <v>50000</v>
      </c>
      <c r="E58" s="21"/>
      <c r="F58" s="21"/>
      <c r="G58" s="21"/>
      <c r="H58" s="21"/>
      <c r="J58" s="21">
        <v>40000</v>
      </c>
      <c r="K58" s="38">
        <f t="shared" si="14"/>
        <v>-10000</v>
      </c>
    </row>
    <row r="59" spans="1:11" ht="15" customHeight="1" x14ac:dyDescent="0.25">
      <c r="A59" s="9"/>
      <c r="B59" s="21"/>
      <c r="C59" s="21"/>
      <c r="D59" s="38"/>
      <c r="E59" s="21"/>
      <c r="F59" s="21"/>
      <c r="G59" s="21"/>
      <c r="H59" s="21"/>
      <c r="J59" s="21"/>
      <c r="K59" s="38"/>
    </row>
    <row r="60" spans="1:11" ht="15" customHeight="1" x14ac:dyDescent="0.25">
      <c r="A60" s="9"/>
      <c r="B60" s="21"/>
      <c r="C60" s="21"/>
      <c r="D60" s="21"/>
      <c r="E60" s="21"/>
      <c r="F60" s="21"/>
      <c r="G60" s="21"/>
      <c r="H60" s="21"/>
      <c r="J60" s="21"/>
      <c r="K60" s="21"/>
    </row>
    <row r="61" spans="1:11" s="8" customFormat="1" ht="15" customHeight="1" x14ac:dyDescent="0.25">
      <c r="A61" s="12" t="s">
        <v>58</v>
      </c>
      <c r="B61" s="43"/>
      <c r="C61" s="43"/>
      <c r="D61" s="43"/>
      <c r="E61" s="38"/>
      <c r="F61" s="38"/>
      <c r="G61" s="21"/>
      <c r="H61" s="21"/>
      <c r="I61" s="41"/>
      <c r="J61" s="21"/>
      <c r="K61" s="21"/>
    </row>
    <row r="62" spans="1:11" s="8" customFormat="1" ht="15" customHeight="1" x14ac:dyDescent="0.25">
      <c r="A62" s="48" t="str">
        <f>'[1]Appendix B'!$A$62</f>
        <v>Practice Resilience</v>
      </c>
      <c r="B62" s="43">
        <f>'[1]Appendix B'!B62</f>
        <v>40000</v>
      </c>
      <c r="C62" s="43">
        <v>39000</v>
      </c>
      <c r="D62" s="38">
        <f t="shared" ref="D62:D65" si="15">C62+B62</f>
        <v>79000</v>
      </c>
      <c r="E62" s="38"/>
      <c r="F62" s="43">
        <v>66000</v>
      </c>
      <c r="G62" s="43">
        <v>66000</v>
      </c>
      <c r="H62" s="38">
        <f t="shared" ref="H62:H65" si="16">G62-F62</f>
        <v>0</v>
      </c>
      <c r="I62" s="41"/>
      <c r="J62" s="43">
        <v>80056</v>
      </c>
      <c r="K62" s="38">
        <f t="shared" ref="K62:K65" si="17">J62-D62</f>
        <v>1056</v>
      </c>
    </row>
    <row r="63" spans="1:11" s="8" customFormat="1" ht="15" customHeight="1" x14ac:dyDescent="0.25">
      <c r="A63" s="10" t="s">
        <v>46</v>
      </c>
      <c r="B63" s="43">
        <f>'[1]Appendix B'!B64</f>
        <v>74000</v>
      </c>
      <c r="C63" s="43">
        <v>75000</v>
      </c>
      <c r="D63" s="38">
        <f t="shared" si="15"/>
        <v>149000</v>
      </c>
      <c r="E63" s="38"/>
      <c r="F63" s="43">
        <v>124000</v>
      </c>
      <c r="G63" s="43">
        <v>124000</v>
      </c>
      <c r="H63" s="38">
        <f t="shared" si="16"/>
        <v>0</v>
      </c>
      <c r="I63" s="41"/>
      <c r="J63" s="43">
        <v>149000</v>
      </c>
      <c r="K63" s="38">
        <f t="shared" si="17"/>
        <v>0</v>
      </c>
    </row>
    <row r="64" spans="1:11" s="8" customFormat="1" ht="15" customHeight="1" x14ac:dyDescent="0.25">
      <c r="A64" s="10" t="s">
        <v>54</v>
      </c>
      <c r="B64" s="43">
        <f>'[1]Appendix B'!B65</f>
        <v>138000</v>
      </c>
      <c r="C64" s="43">
        <v>138000</v>
      </c>
      <c r="D64" s="38">
        <f t="shared" si="15"/>
        <v>276000</v>
      </c>
      <c r="E64" s="38"/>
      <c r="F64" s="43">
        <v>230000</v>
      </c>
      <c r="G64" s="43">
        <v>230000</v>
      </c>
      <c r="H64" s="38">
        <f t="shared" si="16"/>
        <v>0</v>
      </c>
      <c r="I64" s="41"/>
      <c r="J64" s="43">
        <v>276000</v>
      </c>
      <c r="K64" s="38">
        <f t="shared" si="17"/>
        <v>0</v>
      </c>
    </row>
    <row r="65" spans="1:11" s="8" customFormat="1" ht="15" customHeight="1" x14ac:dyDescent="0.25">
      <c r="A65" s="10" t="s">
        <v>60</v>
      </c>
      <c r="B65" s="43">
        <v>0</v>
      </c>
      <c r="C65" s="43">
        <f>61000+60000+28000</f>
        <v>149000</v>
      </c>
      <c r="D65" s="38">
        <f t="shared" si="15"/>
        <v>149000</v>
      </c>
      <c r="E65" s="38"/>
      <c r="F65" s="43">
        <v>40664</v>
      </c>
      <c r="G65" s="43">
        <v>40664</v>
      </c>
      <c r="H65" s="38">
        <f t="shared" si="16"/>
        <v>0</v>
      </c>
      <c r="I65" s="41"/>
      <c r="J65" s="43">
        <f>121000+25000</f>
        <v>146000</v>
      </c>
      <c r="K65" s="38">
        <f t="shared" si="17"/>
        <v>-3000</v>
      </c>
    </row>
    <row r="66" spans="1:11" s="8" customFormat="1" ht="15" customHeight="1" x14ac:dyDescent="0.25">
      <c r="A66" s="10"/>
      <c r="B66" s="43"/>
      <c r="C66" s="43"/>
      <c r="D66" s="43"/>
      <c r="E66" s="38"/>
      <c r="F66" s="37"/>
      <c r="G66" s="21"/>
      <c r="H66" s="21"/>
      <c r="I66" s="41"/>
      <c r="J66" s="21"/>
      <c r="K66" s="21"/>
    </row>
    <row r="67" spans="1:11" s="8" customFormat="1" ht="15" customHeight="1" x14ac:dyDescent="0.25">
      <c r="A67" s="12" t="s">
        <v>39</v>
      </c>
      <c r="B67" s="25">
        <f>SUM(B53:B65)</f>
        <v>252000</v>
      </c>
      <c r="C67" s="25">
        <f t="shared" ref="C67:D67" si="18">SUM(C53:C65)</f>
        <v>1490979</v>
      </c>
      <c r="D67" s="25">
        <f t="shared" si="18"/>
        <v>1742979</v>
      </c>
      <c r="E67" s="25"/>
      <c r="F67" s="25">
        <f>SUM(F61:F65)</f>
        <v>460664</v>
      </c>
      <c r="G67" s="25">
        <f>SUM(G61:G65)</f>
        <v>460664</v>
      </c>
      <c r="H67" s="25">
        <f>SUM(H61:H65)</f>
        <v>0</v>
      </c>
      <c r="I67" s="41"/>
      <c r="J67" s="25">
        <f t="shared" ref="J67" si="19">SUM(J53:J65)</f>
        <v>1739911</v>
      </c>
      <c r="K67" s="25">
        <f>SUM(K53:K65)</f>
        <v>-3068</v>
      </c>
    </row>
    <row r="68" spans="1:11" s="8" customFormat="1" ht="15" customHeight="1" x14ac:dyDescent="0.25">
      <c r="A68" s="13"/>
      <c r="B68" s="25"/>
      <c r="C68" s="25"/>
      <c r="D68" s="25"/>
      <c r="E68" s="25"/>
      <c r="F68" s="25"/>
      <c r="G68" s="25"/>
      <c r="H68" s="25"/>
      <c r="I68" s="41"/>
      <c r="J68" s="25"/>
      <c r="K68" s="25"/>
    </row>
    <row r="69" spans="1:11" s="8" customFormat="1" ht="15" customHeight="1" x14ac:dyDescent="0.25">
      <c r="A69" s="14" t="s">
        <v>35</v>
      </c>
      <c r="B69" s="43"/>
      <c r="C69" s="43"/>
      <c r="D69" s="43"/>
      <c r="E69" s="43"/>
      <c r="F69" s="39"/>
      <c r="G69" s="21"/>
      <c r="H69" s="21"/>
      <c r="I69" s="41"/>
      <c r="J69" s="21"/>
      <c r="K69" s="21"/>
    </row>
    <row r="70" spans="1:11" s="8" customFormat="1" ht="15" customHeight="1" x14ac:dyDescent="0.25">
      <c r="A70" s="11" t="s">
        <v>36</v>
      </c>
      <c r="B70" s="43">
        <v>150000</v>
      </c>
      <c r="C70" s="43">
        <v>150000</v>
      </c>
      <c r="D70" s="38">
        <f t="shared" ref="D70:D73" si="20">C70+B70</f>
        <v>300000</v>
      </c>
      <c r="E70" s="38"/>
      <c r="F70" s="37">
        <v>250000</v>
      </c>
      <c r="G70" s="21">
        <v>250000</v>
      </c>
      <c r="H70" s="21">
        <f t="shared" ref="H70:H73" si="21">G70-F70</f>
        <v>0</v>
      </c>
      <c r="I70" s="41"/>
      <c r="J70" s="21">
        <v>300000</v>
      </c>
      <c r="K70" s="38">
        <f t="shared" ref="K70:K73" si="22">J70-D70</f>
        <v>0</v>
      </c>
    </row>
    <row r="71" spans="1:11" s="8" customFormat="1" ht="15" customHeight="1" x14ac:dyDescent="0.25">
      <c r="A71" s="11" t="s">
        <v>51</v>
      </c>
      <c r="B71" s="43">
        <f>75000+150000</f>
        <v>225000</v>
      </c>
      <c r="C71" s="43">
        <v>153841</v>
      </c>
      <c r="D71" s="38">
        <f t="shared" si="20"/>
        <v>378841</v>
      </c>
      <c r="E71" s="38"/>
      <c r="F71" s="37">
        <v>327561</v>
      </c>
      <c r="G71" s="21">
        <v>139254</v>
      </c>
      <c r="H71" s="21">
        <f t="shared" si="21"/>
        <v>-188307</v>
      </c>
      <c r="I71" s="41"/>
      <c r="J71" s="21">
        <f>105879+1</f>
        <v>105880</v>
      </c>
      <c r="K71" s="38">
        <f t="shared" si="22"/>
        <v>-272961</v>
      </c>
    </row>
    <row r="72" spans="1:11" s="8" customFormat="1" ht="15" customHeight="1" x14ac:dyDescent="0.25">
      <c r="A72" s="11" t="s">
        <v>71</v>
      </c>
      <c r="B72" s="43">
        <v>0</v>
      </c>
      <c r="C72" s="43">
        <v>0</v>
      </c>
      <c r="D72" s="38">
        <f t="shared" si="20"/>
        <v>0</v>
      </c>
      <c r="E72" s="38"/>
      <c r="F72" s="37"/>
      <c r="G72" s="21"/>
      <c r="H72" s="21"/>
      <c r="I72" s="41"/>
      <c r="J72" s="21">
        <v>52802</v>
      </c>
      <c r="K72" s="38">
        <f t="shared" si="22"/>
        <v>52802</v>
      </c>
    </row>
    <row r="73" spans="1:11" s="8" customFormat="1" ht="15" customHeight="1" x14ac:dyDescent="0.25">
      <c r="A73" s="11" t="s">
        <v>72</v>
      </c>
      <c r="B73" s="43">
        <v>0</v>
      </c>
      <c r="C73" s="43">
        <v>800000</v>
      </c>
      <c r="D73" s="38">
        <f t="shared" si="20"/>
        <v>800000</v>
      </c>
      <c r="E73" s="38"/>
      <c r="F73" s="37">
        <v>0</v>
      </c>
      <c r="G73" s="21">
        <v>0</v>
      </c>
      <c r="H73" s="21">
        <f t="shared" si="21"/>
        <v>0</v>
      </c>
      <c r="I73" s="41"/>
      <c r="J73" s="21">
        <f>-629+800000</f>
        <v>799371</v>
      </c>
      <c r="K73" s="38">
        <f t="shared" si="22"/>
        <v>-629</v>
      </c>
    </row>
    <row r="74" spans="1:11" s="8" customFormat="1" ht="15" customHeight="1" x14ac:dyDescent="0.25">
      <c r="A74" s="11"/>
      <c r="B74" s="43"/>
      <c r="C74" s="43"/>
      <c r="D74" s="43"/>
      <c r="E74" s="43"/>
      <c r="F74" s="39"/>
      <c r="G74" s="21"/>
      <c r="H74" s="21"/>
      <c r="I74" s="41"/>
      <c r="J74" s="21"/>
      <c r="K74" s="21"/>
    </row>
    <row r="75" spans="1:11" ht="15" customHeight="1" x14ac:dyDescent="0.25">
      <c r="A75" s="3" t="s">
        <v>37</v>
      </c>
      <c r="B75" s="22">
        <f>SUM(B70:B74)</f>
        <v>375000</v>
      </c>
      <c r="C75" s="22">
        <f t="shared" ref="C75:D75" si="23">SUM(C70:C74)</f>
        <v>1103841</v>
      </c>
      <c r="D75" s="22">
        <f t="shared" si="23"/>
        <v>1478841</v>
      </c>
      <c r="E75" s="22"/>
      <c r="F75" s="22">
        <f>SUM(F70:F74)</f>
        <v>577561</v>
      </c>
      <c r="G75" s="22">
        <f>SUM(G70:G74)</f>
        <v>389254</v>
      </c>
      <c r="H75" s="22">
        <f>SUM(H70:H74)</f>
        <v>-188307</v>
      </c>
      <c r="J75" s="22">
        <f>SUM(J70:J74)</f>
        <v>1258053</v>
      </c>
      <c r="K75" s="22">
        <f>SUM(K70:K74)</f>
        <v>-220788</v>
      </c>
    </row>
    <row r="76" spans="1:11" ht="15" customHeight="1" x14ac:dyDescent="0.25">
      <c r="A76" s="3"/>
      <c r="B76" s="22"/>
      <c r="C76" s="22"/>
      <c r="D76" s="22"/>
      <c r="E76" s="22"/>
      <c r="F76" s="22"/>
      <c r="G76" s="22"/>
      <c r="H76" s="22"/>
      <c r="J76" s="22"/>
      <c r="K76" s="22"/>
    </row>
    <row r="77" spans="1:11" s="2" customFormat="1" ht="28.5" customHeight="1" x14ac:dyDescent="0.25">
      <c r="A77" s="18" t="s">
        <v>42</v>
      </c>
      <c r="B77" s="26">
        <f>+B75+B67+B50+B41+B34+B9+B7</f>
        <v>9469811.7750000004</v>
      </c>
      <c r="C77" s="26">
        <f>+C75+C67+C50+C41+C34+C9+C7</f>
        <v>10233419.5</v>
      </c>
      <c r="D77" s="26">
        <f>+D75+D67+D50+D41+D34+D9+D7</f>
        <v>19703231.274999999</v>
      </c>
      <c r="E77" s="24"/>
      <c r="F77" s="26">
        <f>+F75+F67+F50+F41+F34+F9+F7</f>
        <v>14614856.785</v>
      </c>
      <c r="G77" s="26">
        <f>+G75+G67+G50+G41+G34+G9+G7</f>
        <v>14292929.351666667</v>
      </c>
      <c r="H77" s="26">
        <f>+H75+H67+H50+H41+H34+H9+H7</f>
        <v>-321927.43333333329</v>
      </c>
      <c r="I77" s="42"/>
      <c r="J77" s="26">
        <f>+J75+J67+J50+J41+J34+J9+J7</f>
        <v>18841181</v>
      </c>
      <c r="K77" s="26">
        <f>+K75+K67+K50+K41+K34+K9+K7</f>
        <v>-862050.27499999991</v>
      </c>
    </row>
    <row r="78" spans="1:11" x14ac:dyDescent="0.25">
      <c r="B78" s="44"/>
      <c r="C78" s="44"/>
      <c r="D78" s="44"/>
      <c r="E78" s="50"/>
      <c r="F78" s="44"/>
    </row>
    <row r="79" spans="1:11" s="2" customFormat="1" x14ac:dyDescent="0.25">
      <c r="A79" s="19" t="s">
        <v>44</v>
      </c>
      <c r="B79" s="28">
        <f>412021+38000</f>
        <v>450021</v>
      </c>
      <c r="C79" s="28">
        <f>491610-2000+190000+18000-2000</f>
        <v>695610</v>
      </c>
      <c r="D79" s="28">
        <f>+B79+C79</f>
        <v>1145631</v>
      </c>
      <c r="E79" s="22"/>
      <c r="F79" s="28">
        <v>881470</v>
      </c>
      <c r="G79" s="45">
        <v>814517</v>
      </c>
      <c r="H79" s="28">
        <f t="shared" ref="H79" si="24">G79-F79</f>
        <v>-66953</v>
      </c>
      <c r="I79" s="42"/>
      <c r="J79" s="45">
        <f>938269+49956</f>
        <v>988225</v>
      </c>
      <c r="K79" s="28">
        <f>J79-(D79)</f>
        <v>-157406</v>
      </c>
    </row>
    <row r="80" spans="1:11" x14ac:dyDescent="0.25">
      <c r="E80" s="51"/>
    </row>
    <row r="81" spans="1:11" s="2" customFormat="1" x14ac:dyDescent="0.25">
      <c r="A81" s="20" t="s">
        <v>48</v>
      </c>
      <c r="B81" s="29">
        <f>B77+B79</f>
        <v>9919832.7750000004</v>
      </c>
      <c r="C81" s="29">
        <f t="shared" ref="C81:D81" si="25">C77+C79</f>
        <v>10929029.5</v>
      </c>
      <c r="D81" s="29">
        <f t="shared" si="25"/>
        <v>20848862.274999999</v>
      </c>
      <c r="E81" s="22"/>
      <c r="F81" s="29">
        <f t="shared" ref="F81:G81" si="26">F77+F79</f>
        <v>15496326.785</v>
      </c>
      <c r="G81" s="29">
        <f t="shared" si="26"/>
        <v>15107446.351666667</v>
      </c>
      <c r="H81" s="29">
        <f>SUM(H77:H79)</f>
        <v>-388880.43333333329</v>
      </c>
      <c r="I81" s="42"/>
      <c r="J81" s="29">
        <f t="shared" ref="J81" si="27">J77+J79</f>
        <v>19829406</v>
      </c>
      <c r="K81" s="29">
        <f>SUM(K77:K79)</f>
        <v>-1019456.2749999999</v>
      </c>
    </row>
    <row r="82" spans="1:11" s="15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</row>
  </sheetData>
  <mergeCells count="3">
    <mergeCell ref="A1:I1"/>
    <mergeCell ref="A2:I2"/>
    <mergeCell ref="J2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&amp;R&amp;A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Appendix B</vt:lpstr>
      <vt:lpstr>Sheet1</vt:lpstr>
      <vt:lpstr>'Appendix B'!Print_Area</vt:lpstr>
    </vt:vector>
  </TitlesOfParts>
  <Company>Sheffield PCT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Mason</dc:creator>
  <cp:lastModifiedBy>Linda McDermott</cp:lastModifiedBy>
  <cp:lastPrinted>2022-01-11T12:43:30Z</cp:lastPrinted>
  <dcterms:created xsi:type="dcterms:W3CDTF">2016-06-08T14:26:31Z</dcterms:created>
  <dcterms:modified xsi:type="dcterms:W3CDTF">2022-05-05T07:33:06Z</dcterms:modified>
</cp:coreProperties>
</file>